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hno\AMGSDS\ユーザー支援\Excel\"/>
    </mc:Choice>
  </mc:AlternateContent>
  <bookViews>
    <workbookView xWindow="0" yWindow="0" windowWidth="16665" windowHeight="10890"/>
  </bookViews>
  <sheets>
    <sheet name="メッシュ農業気象データの配信領域" sheetId="1" r:id="rId1"/>
    <sheet name="基準地域メッシュと緯度経度の関係" sheetId="2" r:id="rId2"/>
  </sheets>
  <calcPr calcId="171027"/>
</workbook>
</file>

<file path=xl/calcChain.xml><?xml version="1.0" encoding="utf-8"?>
<calcChain xmlns="http://schemas.openxmlformats.org/spreadsheetml/2006/main">
  <c r="C47" i="1" l="1"/>
  <c r="D47" i="1" s="1"/>
  <c r="B47" i="1"/>
  <c r="B49" i="1"/>
  <c r="B48" i="1"/>
  <c r="B33" i="1" l="1"/>
  <c r="B53" i="1"/>
  <c r="B52" i="1"/>
  <c r="G49" i="1"/>
  <c r="G53" i="1" s="1"/>
  <c r="F49" i="1"/>
  <c r="F53" i="1" s="1"/>
  <c r="E49" i="1"/>
  <c r="E53" i="1" s="1"/>
  <c r="D49" i="1"/>
  <c r="D53" i="1" s="1"/>
  <c r="C49" i="1"/>
  <c r="C53" i="1" s="1"/>
  <c r="G48" i="1"/>
  <c r="G52" i="1" s="1"/>
  <c r="F48" i="1"/>
  <c r="F52" i="1" s="1"/>
  <c r="E48" i="1"/>
  <c r="E52" i="1" s="1"/>
  <c r="D48" i="1"/>
  <c r="D52" i="1" s="1"/>
  <c r="C48" i="1"/>
  <c r="C52" i="1" s="1"/>
  <c r="B27" i="1"/>
  <c r="B26" i="1"/>
  <c r="B51" i="1" l="1"/>
  <c r="G51" i="1"/>
  <c r="E51" i="1"/>
  <c r="C51" i="1"/>
  <c r="H51" i="1" s="1"/>
  <c r="D51" i="1"/>
  <c r="F51" i="1"/>
  <c r="B25" i="1"/>
  <c r="B35" i="1"/>
  <c r="I15" i="2"/>
  <c r="G15" i="2"/>
  <c r="E15" i="2"/>
  <c r="H14" i="2"/>
  <c r="D14" i="2"/>
  <c r="D10" i="2"/>
  <c r="D5" i="2"/>
  <c r="E5" i="2" s="1"/>
  <c r="H50" i="1" l="1"/>
  <c r="B57" i="1" s="1"/>
  <c r="H52" i="1"/>
  <c r="I52" i="1" s="1"/>
  <c r="H53" i="1"/>
  <c r="I53" i="1" s="1"/>
  <c r="B5" i="2"/>
  <c r="J5" i="2"/>
  <c r="F14" i="2"/>
  <c r="C16" i="2" s="1"/>
  <c r="E10" i="2"/>
  <c r="C4" i="2"/>
  <c r="C6" i="2"/>
  <c r="G23" i="1"/>
  <c r="G27" i="1" s="1"/>
  <c r="B34" i="1"/>
  <c r="D22" i="1"/>
  <c r="D26" i="1" s="1"/>
  <c r="C22" i="1"/>
  <c r="C26" i="1" s="1"/>
  <c r="F22" i="1"/>
  <c r="F26" i="1" s="1"/>
  <c r="G22" i="1"/>
  <c r="G26" i="1" s="1"/>
  <c r="E22" i="1"/>
  <c r="E26" i="1" s="1"/>
  <c r="B58" i="1" l="1"/>
  <c r="B56" i="1"/>
  <c r="B55" i="1"/>
  <c r="G25" i="1"/>
  <c r="F10" i="2"/>
  <c r="G10" i="2"/>
  <c r="F23" i="1"/>
  <c r="F27" i="1" s="1"/>
  <c r="F25" i="1" s="1"/>
  <c r="C23" i="1"/>
  <c r="C27" i="1" s="1"/>
  <c r="C25" i="1" s="1"/>
  <c r="D23" i="1"/>
  <c r="D27" i="1" s="1"/>
  <c r="D25" i="1" s="1"/>
  <c r="E23" i="1"/>
  <c r="E27" i="1" s="1"/>
  <c r="E25" i="1" s="1"/>
  <c r="B45" i="1" l="1"/>
  <c r="B44" i="1"/>
  <c r="H10" i="2"/>
  <c r="C9" i="2" s="1"/>
  <c r="I10" i="2" l="1"/>
  <c r="C11" i="2"/>
  <c r="J10" i="2" l="1"/>
  <c r="B10" i="2"/>
</calcChain>
</file>

<file path=xl/sharedStrings.xml><?xml version="1.0" encoding="utf-8"?>
<sst xmlns="http://schemas.openxmlformats.org/spreadsheetml/2006/main" count="93" uniqueCount="66">
  <si>
    <t>Area1</t>
  </si>
  <si>
    <t>Area2</t>
  </si>
  <si>
    <t>Area3</t>
  </si>
  <si>
    <t>Area4</t>
  </si>
  <si>
    <t>Area5</t>
  </si>
  <si>
    <t>Area6</t>
  </si>
  <si>
    <t>北緯</t>
    <rPh sb="0" eb="2">
      <t>ホクイ</t>
    </rPh>
    <phoneticPr fontId="1"/>
  </si>
  <si>
    <t>東経</t>
    <rPh sb="0" eb="2">
      <t>トウケイ</t>
    </rPh>
    <phoneticPr fontId="1"/>
  </si>
  <si>
    <t>北西端</t>
    <rPh sb="0" eb="2">
      <t>ホクセイ</t>
    </rPh>
    <rPh sb="2" eb="3">
      <t>タン</t>
    </rPh>
    <phoneticPr fontId="1"/>
  </si>
  <si>
    <t>南東端</t>
    <rPh sb="0" eb="2">
      <t>ナントウ</t>
    </rPh>
    <rPh sb="2" eb="3">
      <t>タン</t>
    </rPh>
    <phoneticPr fontId="1"/>
  </si>
  <si>
    <t>南西端</t>
    <rPh sb="0" eb="2">
      <t>ナンセイ</t>
    </rPh>
    <rPh sb="2" eb="3">
      <t>タン</t>
    </rPh>
    <phoneticPr fontId="1"/>
  </si>
  <si>
    <t>北東端</t>
    <rPh sb="0" eb="2">
      <t>ホクトウ</t>
    </rPh>
    <rPh sb="2" eb="3">
      <t>タン</t>
    </rPh>
    <phoneticPr fontId="1"/>
  </si>
  <si>
    <t>メッシュ番号</t>
    <rPh sb="4" eb="6">
      <t>バンゴウ</t>
    </rPh>
    <phoneticPr fontId="1"/>
  </si>
  <si>
    <t>北海道地方</t>
    <rPh sb="0" eb="3">
      <t>ホッカイドウ</t>
    </rPh>
    <rPh sb="3" eb="5">
      <t>チホウ</t>
    </rPh>
    <phoneticPr fontId="1"/>
  </si>
  <si>
    <t>東北地方</t>
    <rPh sb="0" eb="2">
      <t>トウホク</t>
    </rPh>
    <rPh sb="2" eb="4">
      <t>チホウ</t>
    </rPh>
    <phoneticPr fontId="1"/>
  </si>
  <si>
    <t>中部日本</t>
    <rPh sb="0" eb="2">
      <t>チュウブ</t>
    </rPh>
    <rPh sb="2" eb="4">
      <t>ニホン</t>
    </rPh>
    <phoneticPr fontId="1"/>
  </si>
  <si>
    <t>西日本</t>
    <rPh sb="0" eb="1">
      <t>ニシ</t>
    </rPh>
    <rPh sb="1" eb="3">
      <t>ニホン</t>
    </rPh>
    <phoneticPr fontId="1"/>
  </si>
  <si>
    <t>九州地方</t>
    <rPh sb="0" eb="2">
      <t>キュウシュウ</t>
    </rPh>
    <rPh sb="2" eb="4">
      <t>チホウ</t>
    </rPh>
    <phoneticPr fontId="1"/>
  </si>
  <si>
    <t>西南諸島</t>
    <rPh sb="0" eb="2">
      <t>セイナン</t>
    </rPh>
    <rPh sb="2" eb="4">
      <t>ショトウ</t>
    </rPh>
    <phoneticPr fontId="1"/>
  </si>
  <si>
    <t>気象要素あたりバイト数</t>
    <rPh sb="0" eb="2">
      <t>キショウ</t>
    </rPh>
    <rPh sb="2" eb="4">
      <t>ヨウソ</t>
    </rPh>
    <rPh sb="10" eb="11">
      <t>スウ</t>
    </rPh>
    <phoneticPr fontId="1"/>
  </si>
  <si>
    <t>標準地域メッシュコードと、緯度経度との関係</t>
    <rPh sb="0" eb="2">
      <t>ヒョウジュン</t>
    </rPh>
    <rPh sb="2" eb="4">
      <t>チイキ</t>
    </rPh>
    <rPh sb="13" eb="15">
      <t>イド</t>
    </rPh>
    <rPh sb="15" eb="17">
      <t>ケイド</t>
    </rPh>
    <rPh sb="19" eb="21">
      <t>カンケイ</t>
    </rPh>
    <phoneticPr fontId="1"/>
  </si>
  <si>
    <t>西端の東経</t>
    <rPh sb="0" eb="2">
      <t>セイタン</t>
    </rPh>
    <rPh sb="3" eb="5">
      <t>トウケイ</t>
    </rPh>
    <phoneticPr fontId="2"/>
  </si>
  <si>
    <t>北端の北緯</t>
    <rPh sb="0" eb="1">
      <t>キタ</t>
    </rPh>
    <rPh sb="1" eb="2">
      <t>タン</t>
    </rPh>
    <rPh sb="3" eb="5">
      <t>ホクイ</t>
    </rPh>
    <phoneticPr fontId="2"/>
  </si>
  <si>
    <t>南端の北緯</t>
    <rPh sb="0" eb="2">
      <t>ナンタン</t>
    </rPh>
    <rPh sb="3" eb="5">
      <t>ホクイ</t>
    </rPh>
    <phoneticPr fontId="2"/>
  </si>
  <si>
    <t>北西端の1次メッシュ番号</t>
    <rPh sb="0" eb="2">
      <t>ホクセイ</t>
    </rPh>
    <rPh sb="2" eb="3">
      <t>タン</t>
    </rPh>
    <rPh sb="5" eb="6">
      <t>ジ</t>
    </rPh>
    <rPh sb="10" eb="12">
      <t>バンゴウ</t>
    </rPh>
    <phoneticPr fontId="1"/>
  </si>
  <si>
    <t>南東端の1次メッシュ番号</t>
    <rPh sb="0" eb="2">
      <t>ナントウ</t>
    </rPh>
    <rPh sb="2" eb="3">
      <t>タン</t>
    </rPh>
    <rPh sb="5" eb="6">
      <t>ジ</t>
    </rPh>
    <rPh sb="10" eb="12">
      <t>バンゴウ</t>
    </rPh>
    <phoneticPr fontId="1"/>
  </si>
  <si>
    <t>南北方向の要素数</t>
    <rPh sb="0" eb="2">
      <t>ナンボク</t>
    </rPh>
    <rPh sb="2" eb="4">
      <t>ホウコウ</t>
    </rPh>
    <rPh sb="5" eb="7">
      <t>ヨウソ</t>
    </rPh>
    <rPh sb="7" eb="8">
      <t>スウ</t>
    </rPh>
    <phoneticPr fontId="1"/>
  </si>
  <si>
    <t>東西方向の要素数</t>
    <rPh sb="0" eb="2">
      <t>トウザイ</t>
    </rPh>
    <rPh sb="2" eb="4">
      <t>ホウコウ</t>
    </rPh>
    <rPh sb="5" eb="7">
      <t>ヨウソ</t>
    </rPh>
    <rPh sb="7" eb="8">
      <t>スウ</t>
    </rPh>
    <phoneticPr fontId="1"/>
  </si>
  <si>
    <t>地域の記号</t>
    <rPh sb="0" eb="2">
      <t>チイキ</t>
    </rPh>
    <rPh sb="3" eb="5">
      <t>キゴウ</t>
    </rPh>
    <phoneticPr fontId="1"/>
  </si>
  <si>
    <t>地域の呼び名</t>
    <rPh sb="0" eb="2">
      <t>チイキ</t>
    </rPh>
    <rPh sb="3" eb="4">
      <t>ヨ</t>
    </rPh>
    <rPh sb="5" eb="6">
      <t>ナ</t>
    </rPh>
    <phoneticPr fontId="1"/>
  </si>
  <si>
    <t>特定地点を含む地域とその中での要素番号</t>
    <rPh sb="0" eb="2">
      <t>トクテイ</t>
    </rPh>
    <rPh sb="2" eb="4">
      <t>チテン</t>
    </rPh>
    <rPh sb="5" eb="6">
      <t>フク</t>
    </rPh>
    <rPh sb="7" eb="9">
      <t>チイキ</t>
    </rPh>
    <rPh sb="12" eb="13">
      <t>ナカ</t>
    </rPh>
    <rPh sb="15" eb="17">
      <t>ヨウソ</t>
    </rPh>
    <rPh sb="17" eb="19">
      <t>バンゴウ</t>
    </rPh>
    <phoneticPr fontId="1"/>
  </si>
  <si>
    <t>地点の北緯</t>
    <rPh sb="0" eb="2">
      <t>チテン</t>
    </rPh>
    <rPh sb="3" eb="5">
      <t>ホクイ</t>
    </rPh>
    <phoneticPr fontId="1"/>
  </si>
  <si>
    <t>地点の東経</t>
    <rPh sb="3" eb="5">
      <t>トウケイ</t>
    </rPh>
    <phoneticPr fontId="1"/>
  </si>
  <si>
    <t>latの要素番号</t>
    <rPh sb="4" eb="6">
      <t>ヨウソ</t>
    </rPh>
    <rPh sb="6" eb="8">
      <t>バンゴウ</t>
    </rPh>
    <phoneticPr fontId="1"/>
  </si>
  <si>
    <t>lonの要素番号</t>
    <rPh sb="4" eb="6">
      <t>ヨウソ</t>
    </rPh>
    <rPh sb="6" eb="8">
      <t>バンゴウ</t>
    </rPh>
    <phoneticPr fontId="1"/>
  </si>
  <si>
    <t>範囲内(○)/範囲外(×)</t>
    <rPh sb="0" eb="3">
      <t>ハンイナイ</t>
    </rPh>
    <rPh sb="7" eb="9">
      <t>ハンイ</t>
    </rPh>
    <rPh sb="9" eb="10">
      <t>ガイ</t>
    </rPh>
    <phoneticPr fontId="1"/>
  </si>
  <si>
    <t>日付と、時刻要素番号との関係</t>
    <rPh sb="0" eb="2">
      <t>ヒヅケ</t>
    </rPh>
    <rPh sb="4" eb="6">
      <t>ジコク</t>
    </rPh>
    <rPh sb="6" eb="8">
      <t>ヨウソ</t>
    </rPh>
    <rPh sb="8" eb="10">
      <t>バンゴウ</t>
    </rPh>
    <rPh sb="12" eb="14">
      <t>カンケイ</t>
    </rPh>
    <phoneticPr fontId="1"/>
  </si>
  <si>
    <t>日付</t>
    <rPh sb="0" eb="2">
      <t>ヒヅケ</t>
    </rPh>
    <phoneticPr fontId="1"/>
  </si>
  <si>
    <t>timeの要素番号</t>
    <rPh sb="5" eb="7">
      <t>ヨウソ</t>
    </rPh>
    <rPh sb="7" eb="9">
      <t>バンゴウ</t>
    </rPh>
    <phoneticPr fontId="1"/>
  </si>
  <si>
    <t>東端の東経</t>
    <rPh sb="0" eb="1">
      <t>ヒガシ</t>
    </rPh>
    <rPh sb="1" eb="2">
      <t>ハシ</t>
    </rPh>
    <rPh sb="3" eb="5">
      <t>トウケイ</t>
    </rPh>
    <phoneticPr fontId="2"/>
  </si>
  <si>
    <t>一次メッシュの緯度経度範囲を計算することができます。</t>
    <rPh sb="0" eb="1">
      <t>イチ</t>
    </rPh>
    <rPh sb="1" eb="2">
      <t>ジ</t>
    </rPh>
    <rPh sb="7" eb="9">
      <t>イド</t>
    </rPh>
    <rPh sb="9" eb="11">
      <t>ケイド</t>
    </rPh>
    <rPh sb="11" eb="13">
      <t>ハンイ</t>
    </rPh>
    <rPh sb="14" eb="16">
      <t>ケイサン</t>
    </rPh>
    <phoneticPr fontId="1"/>
  </si>
  <si>
    <t>三次メッシュの緯度経度範囲を計算することができます。</t>
    <rPh sb="0" eb="1">
      <t>サン</t>
    </rPh>
    <rPh sb="1" eb="2">
      <t>ジ</t>
    </rPh>
    <rPh sb="7" eb="9">
      <t>イド</t>
    </rPh>
    <rPh sb="9" eb="11">
      <t>ケイド</t>
    </rPh>
    <rPh sb="11" eb="13">
      <t>ハンイ</t>
    </rPh>
    <rPh sb="14" eb="16">
      <t>ケイサン</t>
    </rPh>
    <phoneticPr fontId="1"/>
  </si>
  <si>
    <t>特定地点を含む3次メッシュ番号を知ることができます。</t>
    <rPh sb="0" eb="2">
      <t>トクテイ</t>
    </rPh>
    <rPh sb="2" eb="4">
      <t>チテン</t>
    </rPh>
    <rPh sb="5" eb="6">
      <t>フク</t>
    </rPh>
    <rPh sb="8" eb="9">
      <t>ジ</t>
    </rPh>
    <rPh sb="13" eb="15">
      <t>バンゴウ</t>
    </rPh>
    <rPh sb="16" eb="17">
      <t>シ</t>
    </rPh>
    <phoneticPr fontId="1"/>
  </si>
  <si>
    <t>メッシュ農業気象データは、左の図に示す6つの領域(Area1～Area6)を単位として提供されており、それぞれの領域は下表のとおり定義されています。</t>
    <rPh sb="4" eb="6">
      <t>ノウギョウ</t>
    </rPh>
    <rPh sb="6" eb="8">
      <t>キショウ</t>
    </rPh>
    <rPh sb="13" eb="14">
      <t>ヒダリ</t>
    </rPh>
    <rPh sb="15" eb="16">
      <t>ズ</t>
    </rPh>
    <rPh sb="17" eb="18">
      <t>シメ</t>
    </rPh>
    <rPh sb="22" eb="24">
      <t>リョウイキ</t>
    </rPh>
    <rPh sb="38" eb="40">
      <t>タンイ</t>
    </rPh>
    <rPh sb="43" eb="45">
      <t>テイキョウ</t>
    </rPh>
    <rPh sb="56" eb="58">
      <t>リョウイキ</t>
    </rPh>
    <rPh sb="59" eb="61">
      <t>カヒョウ</t>
    </rPh>
    <rPh sb="65" eb="67">
      <t>テイギ</t>
    </rPh>
    <phoneticPr fontId="1"/>
  </si>
  <si>
    <t>Excelの日付連番</t>
    <rPh sb="6" eb="8">
      <t>ヒヅケ</t>
    </rPh>
    <rPh sb="8" eb="10">
      <t>レンバン</t>
    </rPh>
    <phoneticPr fontId="1"/>
  </si>
  <si>
    <t>特定地点の1年分の気象データをCSV形式でダウンロードするURL</t>
    <rPh sb="0" eb="2">
      <t>トクテイ</t>
    </rPh>
    <rPh sb="2" eb="4">
      <t>チテン</t>
    </rPh>
    <rPh sb="6" eb="8">
      <t>ネンブン</t>
    </rPh>
    <rPh sb="9" eb="11">
      <t>キショウ</t>
    </rPh>
    <rPh sb="18" eb="20">
      <t>ケイシキ</t>
    </rPh>
    <phoneticPr fontId="1"/>
  </si>
  <si>
    <t>TMP_mea</t>
    <phoneticPr fontId="11"/>
  </si>
  <si>
    <t>サーバー</t>
    <phoneticPr fontId="11"/>
  </si>
  <si>
    <t>https://amd.rd.naro.go.jp/opendap/AMD/</t>
  </si>
  <si>
    <t>パス</t>
    <phoneticPr fontId="11"/>
  </si>
  <si>
    <t>/</t>
    <phoneticPr fontId="11"/>
  </si>
  <si>
    <t>_</t>
    <phoneticPr fontId="11"/>
  </si>
  <si>
    <t>?</t>
    <phoneticPr fontId="11"/>
  </si>
  <si>
    <t>気象要素</t>
    <rPh sb="0" eb="2">
      <t>キショウ</t>
    </rPh>
    <rPh sb="2" eb="4">
      <t>ヨウソ</t>
    </rPh>
    <phoneticPr fontId="1"/>
  </si>
  <si>
    <t>取得年次</t>
    <rPh sb="0" eb="2">
      <t>シュトク</t>
    </rPh>
    <rPh sb="2" eb="4">
      <t>ネンジ</t>
    </rPh>
    <phoneticPr fontId="1"/>
  </si>
  <si>
    <t>各種記号</t>
    <rPh sb="0" eb="2">
      <t>カクシュ</t>
    </rPh>
    <rPh sb="2" eb="4">
      <t>キゴウ</t>
    </rPh>
    <phoneticPr fontId="1"/>
  </si>
  <si>
    <t>[</t>
    <phoneticPr fontId="11"/>
  </si>
  <si>
    <t>]</t>
    <phoneticPr fontId="11"/>
  </si>
  <si>
    <t>netCDFファイル名+送り状</t>
    <rPh sb="10" eb="11">
      <t>メイ</t>
    </rPh>
    <rPh sb="12" eb="13">
      <t>オク</t>
    </rPh>
    <rPh sb="14" eb="15">
      <t>ジョウ</t>
    </rPh>
    <phoneticPr fontId="11"/>
  </si>
  <si>
    <t>URLの生成に必要なものたち</t>
    <rPh sb="4" eb="6">
      <t>セイセイ</t>
    </rPh>
    <rPh sb="7" eb="9">
      <t>ヒツヨウ</t>
    </rPh>
    <phoneticPr fontId="11"/>
  </si>
  <si>
    <t>メッシュ指定</t>
    <rPh sb="4" eb="6">
      <t>シテイ</t>
    </rPh>
    <phoneticPr fontId="1"/>
  </si>
  <si>
    <t>メッシュシステムでの日付連番</t>
    <rPh sb="10" eb="12">
      <t>ヒヅケ</t>
    </rPh>
    <rPh sb="12" eb="14">
      <t>レンバン</t>
    </rPh>
    <phoneticPr fontId="1"/>
  </si>
  <si>
    <t>データ取得URL</t>
    <rPh sb="3" eb="5">
      <t>シュトク</t>
    </rPh>
    <phoneticPr fontId="11"/>
  </si>
  <si>
    <t>データ取得URL(平年値用)</t>
    <rPh sb="9" eb="12">
      <t>ヘイネンチ</t>
    </rPh>
    <rPh sb="12" eb="13">
      <t>ヨウ</t>
    </rPh>
    <phoneticPr fontId="11"/>
  </si>
  <si>
    <t>このシートで、指定した地点を含むメッシュデータが属する領域と、領域における位置(南から何行目/西から何列目)を知ることができます。</t>
    <rPh sb="7" eb="9">
      <t>シテイ</t>
    </rPh>
    <rPh sb="11" eb="13">
      <t>チテン</t>
    </rPh>
    <rPh sb="14" eb="15">
      <t>フク</t>
    </rPh>
    <rPh sb="24" eb="25">
      <t>ゾク</t>
    </rPh>
    <rPh sb="27" eb="29">
      <t>リョウイキ</t>
    </rPh>
    <rPh sb="31" eb="33">
      <t>リョウイキ</t>
    </rPh>
    <rPh sb="40" eb="41">
      <t>ミナミ</t>
    </rPh>
    <rPh sb="43" eb="46">
      <t>ナンギョウメ</t>
    </rPh>
    <rPh sb="47" eb="48">
      <t>ニシ</t>
    </rPh>
    <rPh sb="50" eb="53">
      <t>ナンレツメ</t>
    </rPh>
    <phoneticPr fontId="1"/>
  </si>
  <si>
    <t>ここで、位置を示す番号は０から始まります。</t>
    <rPh sb="4" eb="6">
      <t>イチ</t>
    </rPh>
    <rPh sb="7" eb="8">
      <t>シメ</t>
    </rPh>
    <rPh sb="9" eb="11">
      <t>バンゴウ</t>
    </rPh>
    <rPh sb="15" eb="16">
      <t>ハジ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</si>
</sst>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.00000_ "/>
    <numFmt numFmtId="178" formatCode="0.0000_ "/>
    <numFmt numFmtId="179" formatCode="0.000000_ "/>
    <numFmt numFmtId="180" formatCode="yyyy/mm/dd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80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b/>
      <sz val="11"/>
      <color rgb="FF00008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0"/>
      <color theme="1"/>
      <name val="Arial Unicode MS"/>
      <family val="2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177" fontId="3" fillId="0" borderId="2" xfId="0" applyNumberFormat="1" applyFont="1" applyBorder="1">
      <alignment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0" fillId="0" borderId="3" xfId="0" applyBorder="1">
      <alignment vertical="center"/>
    </xf>
    <xf numFmtId="177" fontId="3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7" xfId="0" applyBorder="1">
      <alignment vertical="center"/>
    </xf>
    <xf numFmtId="0" fontId="5" fillId="0" borderId="0" xfId="0" applyFont="1" applyBorder="1">
      <alignment vertical="center"/>
    </xf>
    <xf numFmtId="0" fontId="5" fillId="0" borderId="0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179" fontId="7" fillId="0" borderId="2" xfId="0" applyNumberFormat="1" applyFont="1" applyBorder="1">
      <alignment vertical="center"/>
    </xf>
    <xf numFmtId="176" fontId="7" fillId="0" borderId="7" xfId="0" applyNumberFormat="1" applyFont="1" applyBorder="1" applyAlignment="1">
      <alignment horizontal="right" vertical="center"/>
    </xf>
    <xf numFmtId="179" fontId="7" fillId="0" borderId="4" xfId="0" applyNumberFormat="1" applyFont="1" applyBorder="1">
      <alignment vertical="center"/>
    </xf>
    <xf numFmtId="176" fontId="7" fillId="0" borderId="8" xfId="0" applyNumberFormat="1" applyFont="1" applyBorder="1" applyAlignment="1">
      <alignment horizontal="left" vertical="center"/>
    </xf>
    <xf numFmtId="178" fontId="7" fillId="0" borderId="7" xfId="0" applyNumberFormat="1" applyFont="1" applyBorder="1">
      <alignment vertical="center"/>
    </xf>
    <xf numFmtId="178" fontId="7" fillId="0" borderId="8" xfId="0" applyNumberFormat="1" applyFont="1" applyBorder="1" applyAlignment="1">
      <alignment horizontal="left" vertical="center"/>
    </xf>
    <xf numFmtId="0" fontId="7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180" fontId="6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quotePrefix="1">
      <alignment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152401</xdr:colOff>
      <xdr:row>1</xdr:row>
      <xdr:rowOff>47625</xdr:rowOff>
    </xdr:from>
    <xdr:to>
      <xdr:col>12</xdr:col>
      <xdr:colOff>391450</xdr:colOff>
      <xdr:row>19</xdr:row>
      <xdr:rowOff>114300</xdr:rowOff>
    </xdr:to>
    <xdr:pic>
      <xdr:nvPicPr>
        <xdr:cNvPr id="1191" name="Picture 3">
          <a:extLst>
            <a:ext uri="{FF2B5EF4-FFF2-40B4-BE49-F238E27FC236}">
              <a16:creationId xmlns:a16="http://schemas.microsoft.com/office/drawing/2014/main" id="{A50E1D46-8B77-4C77-9D8A-D492DB81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1" y="219075"/>
          <a:ext cx="3668049" cy="3152775"/>
        </a:xfrm>
        <a:prstGeom prst="rect">
          <a:avLst/>
        </a:prstGeom>
        <a:noFill/>
        <a:ln w="1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114300</xdr:colOff>
      <xdr:row>19</xdr:row>
      <xdr:rowOff>142875</xdr:rowOff>
    </xdr:from>
    <xdr:to>
      <xdr:col>5</xdr:col>
      <xdr:colOff>38100</xdr:colOff>
      <xdr:row>22</xdr:row>
      <xdr:rowOff>152400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4B1CA6BA-AC73-40AE-988D-1C9A6A885F67}"/>
            </a:ext>
          </a:extLst>
        </xdr:cNvPr>
        <xdr:cNvSpPr/>
      </xdr:nvSpPr>
      <xdr:spPr>
        <a:xfrm>
          <a:off x="3152775" y="6315075"/>
          <a:ext cx="1295400" cy="523875"/>
        </a:xfrm>
        <a:prstGeom prst="borderCallout1">
          <a:avLst>
            <a:gd name="adj1" fmla="val 47917"/>
            <a:gd name="adj2" fmla="val -1082"/>
            <a:gd name="adj3" fmla="val 73560"/>
            <a:gd name="adj4" fmla="val -61105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調べたい緯度経度を入力します。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361950</xdr:colOff>
      <xdr:row>22</xdr:row>
      <xdr:rowOff>133350</xdr:rowOff>
    </xdr:from>
    <xdr:to>
      <xdr:col>9</xdr:col>
      <xdr:colOff>495300</xdr:colOff>
      <xdr:row>27</xdr:row>
      <xdr:rowOff>152400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6D5F95F4-5238-4EB7-8A4D-2F3394656E26}"/>
            </a:ext>
          </a:extLst>
        </xdr:cNvPr>
        <xdr:cNvSpPr/>
      </xdr:nvSpPr>
      <xdr:spPr>
        <a:xfrm>
          <a:off x="6438900" y="5667375"/>
          <a:ext cx="1504950" cy="876300"/>
        </a:xfrm>
        <a:prstGeom prst="borderCallout1">
          <a:avLst>
            <a:gd name="adj1" fmla="val 47917"/>
            <a:gd name="adj2" fmla="val -1082"/>
            <a:gd name="adj3" fmla="val 55378"/>
            <a:gd name="adj4" fmla="val -21399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地点を含む領域に○が付き、そこでの要素番号が表示されます。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133350</xdr:colOff>
      <xdr:row>28</xdr:row>
      <xdr:rowOff>9525</xdr:rowOff>
    </xdr:from>
    <xdr:to>
      <xdr:col>5</xdr:col>
      <xdr:colOff>57150</xdr:colOff>
      <xdr:row>31</xdr:row>
      <xdr:rowOff>19050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F7D2F3C6-6813-4CD9-957F-2C8AD5271EF5}"/>
            </a:ext>
          </a:extLst>
        </xdr:cNvPr>
        <xdr:cNvSpPr/>
      </xdr:nvSpPr>
      <xdr:spPr>
        <a:xfrm>
          <a:off x="3467100" y="7896225"/>
          <a:ext cx="1295400" cy="523875"/>
        </a:xfrm>
        <a:prstGeom prst="borderCallout1">
          <a:avLst>
            <a:gd name="adj1" fmla="val 47917"/>
            <a:gd name="adj2" fmla="val -1082"/>
            <a:gd name="adj3" fmla="val 113560"/>
            <a:gd name="adj4" fmla="val -61840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調べたい日付を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入力します。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123825</xdr:colOff>
      <xdr:row>32</xdr:row>
      <xdr:rowOff>161925</xdr:rowOff>
    </xdr:from>
    <xdr:to>
      <xdr:col>5</xdr:col>
      <xdr:colOff>47625</xdr:colOff>
      <xdr:row>36</xdr:row>
      <xdr:rowOff>0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94638FE6-D17D-4234-BA93-EC11C2AD81E6}"/>
            </a:ext>
          </a:extLst>
        </xdr:cNvPr>
        <xdr:cNvSpPr/>
      </xdr:nvSpPr>
      <xdr:spPr>
        <a:xfrm>
          <a:off x="3457575" y="8734425"/>
          <a:ext cx="1295400" cy="523875"/>
        </a:xfrm>
        <a:prstGeom prst="borderCallout1">
          <a:avLst>
            <a:gd name="adj1" fmla="val 47917"/>
            <a:gd name="adj2" fmla="val -1082"/>
            <a:gd name="adj3" fmla="val -11895"/>
            <a:gd name="adj4" fmla="val -62575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日付に対応する要素番号が表示されます。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684742</xdr:colOff>
      <xdr:row>38</xdr:row>
      <xdr:rowOff>161924</xdr:rowOff>
    </xdr:from>
    <xdr:to>
      <xdr:col>7</xdr:col>
      <xdr:colOff>608543</xdr:colOff>
      <xdr:row>41</xdr:row>
      <xdr:rowOff>169332</xdr:rowOff>
    </xdr:to>
    <xdr:sp macro="" textlink="">
      <xdr:nvSpPr>
        <xdr:cNvPr id="9" name="線吹き出し 1 (枠付き) 7">
          <a:extLst>
            <a:ext uri="{FF2B5EF4-FFF2-40B4-BE49-F238E27FC236}">
              <a16:creationId xmlns:a16="http://schemas.microsoft.com/office/drawing/2014/main" id="{3EDA54C7-FA62-4AFE-AC68-C471E492B031}"/>
            </a:ext>
          </a:extLst>
        </xdr:cNvPr>
        <xdr:cNvSpPr/>
      </xdr:nvSpPr>
      <xdr:spPr>
        <a:xfrm>
          <a:off x="5404909" y="6596591"/>
          <a:ext cx="1299634" cy="515408"/>
        </a:xfrm>
        <a:prstGeom prst="borderCallout1">
          <a:avLst>
            <a:gd name="adj1" fmla="val 47917"/>
            <a:gd name="adj2" fmla="val -1082"/>
            <a:gd name="adj3" fmla="val 125682"/>
            <a:gd name="adj4" fmla="val -65019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この</a:t>
          </a:r>
          <a:r>
            <a:rPr kumimoji="1" lang="en-US" altLang="ja-JP" sz="1100">
              <a:solidFill>
                <a:sysClr val="windowText" lastClr="000000"/>
              </a:solidFill>
            </a:rPr>
            <a:t>URL</a:t>
          </a:r>
          <a:r>
            <a:rPr kumimoji="1" lang="ja-JP" altLang="en-US" sz="1100">
              <a:solidFill>
                <a:sysClr val="windowText" lastClr="000000"/>
              </a:solidFill>
            </a:rPr>
            <a:t>をブラウザに貼り付けます。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5</xdr:row>
      <xdr:rowOff>9525</xdr:rowOff>
    </xdr:from>
    <xdr:to>
      <xdr:col>12</xdr:col>
      <xdr:colOff>104774</xdr:colOff>
      <xdr:row>8</xdr:row>
      <xdr:rowOff>19050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C5CAB3B0-4677-45FB-B460-FBDAA8AA5963}"/>
            </a:ext>
          </a:extLst>
        </xdr:cNvPr>
        <xdr:cNvSpPr/>
      </xdr:nvSpPr>
      <xdr:spPr>
        <a:xfrm>
          <a:off x="3562350" y="695325"/>
          <a:ext cx="1295399" cy="523875"/>
        </a:xfrm>
        <a:prstGeom prst="borderCallout1">
          <a:avLst>
            <a:gd name="adj1" fmla="val 47917"/>
            <a:gd name="adj2" fmla="val -1082"/>
            <a:gd name="adj3" fmla="val -985"/>
            <a:gd name="adj4" fmla="val -99340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調べたいメッシュコードを入力します。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190501</xdr:colOff>
      <xdr:row>14</xdr:row>
      <xdr:rowOff>0</xdr:rowOff>
    </xdr:from>
    <xdr:to>
      <xdr:col>12</xdr:col>
      <xdr:colOff>85725</xdr:colOff>
      <xdr:row>17</xdr:row>
      <xdr:rowOff>9525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B546C83-E499-4EE9-8CCE-E1519CCEFE0B}"/>
            </a:ext>
          </a:extLst>
        </xdr:cNvPr>
        <xdr:cNvSpPr/>
      </xdr:nvSpPr>
      <xdr:spPr>
        <a:xfrm>
          <a:off x="3571876" y="2228850"/>
          <a:ext cx="1266824" cy="523875"/>
        </a:xfrm>
        <a:prstGeom prst="borderCallout1">
          <a:avLst>
            <a:gd name="adj1" fmla="val 47917"/>
            <a:gd name="adj2" fmla="val -1082"/>
            <a:gd name="adj3" fmla="val -985"/>
            <a:gd name="adj4" fmla="val -99340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調べたい緯度経度を入力します。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361950</xdr:colOff>
      <xdr:row>40</xdr:row>
      <xdr:rowOff>133350</xdr:rowOff>
    </xdr:from>
    <xdr:to>
      <xdr:col>2</xdr:col>
      <xdr:colOff>209550</xdr:colOff>
      <xdr:row>45</xdr:row>
      <xdr:rowOff>152400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6F81F23C-6713-4261-A021-890E7A9B6481}"/>
            </a:ext>
          </a:extLst>
        </xdr:cNvPr>
        <xdr:cNvSpPr/>
      </xdr:nvSpPr>
      <xdr:spPr>
        <a:xfrm>
          <a:off x="6438900" y="6819900"/>
          <a:ext cx="1295400" cy="876300"/>
        </a:xfrm>
        <a:prstGeom prst="borderCallout1">
          <a:avLst>
            <a:gd name="adj1" fmla="val 47917"/>
            <a:gd name="adj2" fmla="val -1082"/>
            <a:gd name="adj3" fmla="val 55378"/>
            <a:gd name="adj4" fmla="val -21399"/>
          </a:avLst>
        </a:prstGeom>
        <a:solidFill>
          <a:schemeClr val="bg2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地点を含む領域に○が付き、そこでの要素番号が表示されます。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26" zoomScaleNormal="100" workbookViewId="0">
      <selection activeCell="B70" sqref="B70"/>
    </sheetView>
  </sheetViews>
  <sheetFormatPr defaultRowHeight="13.5"/>
  <cols>
    <col min="1" max="1" width="21.875" customWidth="1"/>
    <col min="2" max="2" width="12.875" customWidth="1"/>
  </cols>
  <sheetData>
    <row r="1" spans="1:7">
      <c r="A1" s="36" t="s">
        <v>43</v>
      </c>
      <c r="B1" s="35"/>
      <c r="C1" s="35"/>
      <c r="D1" s="35"/>
      <c r="E1" s="35"/>
      <c r="F1" s="35"/>
      <c r="G1" s="35"/>
    </row>
    <row r="2" spans="1:7">
      <c r="A2" t="s">
        <v>64</v>
      </c>
    </row>
    <row r="3" spans="1:7">
      <c r="A3" t="s">
        <v>65</v>
      </c>
    </row>
    <row r="5" spans="1:7">
      <c r="A5" s="1" t="s">
        <v>28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7" t="s">
        <v>5</v>
      </c>
    </row>
    <row r="6" spans="1:7">
      <c r="A6" s="15" t="s">
        <v>29</v>
      </c>
      <c r="B6" s="38" t="s">
        <v>13</v>
      </c>
      <c r="C6" s="38" t="s">
        <v>14</v>
      </c>
      <c r="D6" s="38" t="s">
        <v>15</v>
      </c>
      <c r="E6" s="38" t="s">
        <v>16</v>
      </c>
      <c r="F6" s="38" t="s">
        <v>17</v>
      </c>
      <c r="G6" s="39" t="s">
        <v>18</v>
      </c>
    </row>
    <row r="7" spans="1:7">
      <c r="A7" s="15" t="s">
        <v>22</v>
      </c>
      <c r="B7" s="38">
        <v>46</v>
      </c>
      <c r="C7" s="38">
        <v>42</v>
      </c>
      <c r="D7" s="38">
        <v>38.666666666666664</v>
      </c>
      <c r="E7" s="38">
        <v>36.666666666666664</v>
      </c>
      <c r="F7" s="38">
        <v>35.333333333333336</v>
      </c>
      <c r="G7" s="39">
        <v>29.333333333333332</v>
      </c>
    </row>
    <row r="8" spans="1:7">
      <c r="A8" s="15" t="s">
        <v>23</v>
      </c>
      <c r="B8" s="38">
        <v>39.333333333333336</v>
      </c>
      <c r="C8" s="38">
        <v>34.666666666666664</v>
      </c>
      <c r="D8" s="38">
        <v>32</v>
      </c>
      <c r="E8" s="38">
        <v>32.666666666666664</v>
      </c>
      <c r="F8" s="38">
        <v>28.666666666666668</v>
      </c>
      <c r="G8" s="39">
        <v>24</v>
      </c>
    </row>
    <row r="9" spans="1:7">
      <c r="A9" s="15" t="s">
        <v>21</v>
      </c>
      <c r="B9" s="38">
        <v>139</v>
      </c>
      <c r="C9" s="38">
        <v>137</v>
      </c>
      <c r="D9" s="38">
        <v>135</v>
      </c>
      <c r="E9" s="38">
        <v>130</v>
      </c>
      <c r="F9" s="38">
        <v>128</v>
      </c>
      <c r="G9" s="39">
        <v>122</v>
      </c>
    </row>
    <row r="10" spans="1:7">
      <c r="A10" s="15" t="s">
        <v>39</v>
      </c>
      <c r="B10" s="38">
        <v>146</v>
      </c>
      <c r="C10" s="38">
        <v>143</v>
      </c>
      <c r="D10" s="38">
        <v>142</v>
      </c>
      <c r="E10" s="38">
        <v>138</v>
      </c>
      <c r="F10" s="38">
        <v>133</v>
      </c>
      <c r="G10" s="39">
        <v>132</v>
      </c>
    </row>
    <row r="11" spans="1:7">
      <c r="A11" s="15" t="s">
        <v>24</v>
      </c>
      <c r="B11" s="38">
        <v>6839</v>
      </c>
      <c r="C11" s="38">
        <v>6237</v>
      </c>
      <c r="D11" s="38">
        <v>5735</v>
      </c>
      <c r="E11" s="38">
        <v>5430</v>
      </c>
      <c r="F11" s="40">
        <v>5228</v>
      </c>
      <c r="G11" s="41">
        <v>4322</v>
      </c>
    </row>
    <row r="12" spans="1:7">
      <c r="A12" s="15" t="s">
        <v>25</v>
      </c>
      <c r="B12" s="38">
        <v>5945</v>
      </c>
      <c r="C12" s="38">
        <v>5242</v>
      </c>
      <c r="D12" s="38">
        <v>4841</v>
      </c>
      <c r="E12" s="38">
        <v>4937</v>
      </c>
      <c r="F12" s="40">
        <v>4332</v>
      </c>
      <c r="G12" s="39">
        <v>3631</v>
      </c>
    </row>
    <row r="13" spans="1:7">
      <c r="A13" s="15" t="s">
        <v>26</v>
      </c>
      <c r="B13" s="38">
        <v>800</v>
      </c>
      <c r="C13" s="38">
        <v>880</v>
      </c>
      <c r="D13" s="38">
        <v>800</v>
      </c>
      <c r="E13" s="38">
        <v>480</v>
      </c>
      <c r="F13" s="38">
        <v>800</v>
      </c>
      <c r="G13" s="39">
        <v>640</v>
      </c>
    </row>
    <row r="14" spans="1:7">
      <c r="A14" s="15" t="s">
        <v>27</v>
      </c>
      <c r="B14" s="38">
        <v>560</v>
      </c>
      <c r="C14" s="38">
        <v>480</v>
      </c>
      <c r="D14" s="38">
        <v>560</v>
      </c>
      <c r="E14" s="38">
        <v>640</v>
      </c>
      <c r="F14" s="38">
        <v>400</v>
      </c>
      <c r="G14" s="39">
        <v>800</v>
      </c>
    </row>
    <row r="15" spans="1:7">
      <c r="A15" s="5" t="s">
        <v>19</v>
      </c>
      <c r="B15" s="7">
        <v>655881136</v>
      </c>
      <c r="C15" s="7">
        <v>618402760</v>
      </c>
      <c r="D15" s="7">
        <v>655881136</v>
      </c>
      <c r="E15" s="7">
        <v>449748976</v>
      </c>
      <c r="F15" s="7">
        <v>468488496</v>
      </c>
      <c r="G15" s="8">
        <v>749577456</v>
      </c>
    </row>
    <row r="21" spans="1:7">
      <c r="A21" s="30" t="s">
        <v>30</v>
      </c>
    </row>
    <row r="22" spans="1:7">
      <c r="A22" t="s">
        <v>31</v>
      </c>
      <c r="B22" s="32">
        <v>36.056666666666665</v>
      </c>
      <c r="C22" s="31">
        <f t="shared" ref="C22:G23" si="0">$B22</f>
        <v>36.056666666666665</v>
      </c>
      <c r="D22" s="31">
        <f t="shared" si="0"/>
        <v>36.056666666666665</v>
      </c>
      <c r="E22" s="31">
        <f t="shared" si="0"/>
        <v>36.056666666666665</v>
      </c>
      <c r="F22" s="31">
        <f t="shared" si="0"/>
        <v>36.056666666666665</v>
      </c>
      <c r="G22" s="31">
        <f t="shared" si="0"/>
        <v>36.056666666666665</v>
      </c>
    </row>
    <row r="23" spans="1:7">
      <c r="A23" t="s">
        <v>32</v>
      </c>
      <c r="B23" s="32">
        <v>140.125</v>
      </c>
      <c r="C23" s="31">
        <f t="shared" si="0"/>
        <v>140.125</v>
      </c>
      <c r="D23" s="31">
        <f t="shared" si="0"/>
        <v>140.125</v>
      </c>
      <c r="E23" s="31">
        <f t="shared" si="0"/>
        <v>140.125</v>
      </c>
      <c r="F23" s="31">
        <f t="shared" si="0"/>
        <v>140.125</v>
      </c>
      <c r="G23" s="31">
        <f t="shared" si="0"/>
        <v>140.125</v>
      </c>
    </row>
    <row r="24" spans="1:7">
      <c r="A24" t="s">
        <v>28</v>
      </c>
      <c r="B24" t="s">
        <v>0</v>
      </c>
      <c r="C24" t="s">
        <v>1</v>
      </c>
      <c r="D24" t="s">
        <v>2</v>
      </c>
      <c r="E24" t="s">
        <v>3</v>
      </c>
      <c r="F24" t="s">
        <v>4</v>
      </c>
      <c r="G24" t="s">
        <v>5</v>
      </c>
    </row>
    <row r="25" spans="1:7">
      <c r="A25" t="s">
        <v>35</v>
      </c>
      <c r="B25" s="28" t="str">
        <f t="shared" ref="B25:G25" si="1">IF(AND(0&lt;=B26,B26&lt;B$13,0&lt;=B27,B27&lt;B$14),"○","×")</f>
        <v>×</v>
      </c>
      <c r="C25" s="28" t="str">
        <f t="shared" si="1"/>
        <v>○</v>
      </c>
      <c r="D25" s="28" t="str">
        <f t="shared" si="1"/>
        <v>○</v>
      </c>
      <c r="E25" s="28" t="str">
        <f t="shared" si="1"/>
        <v>×</v>
      </c>
      <c r="F25" s="28" t="str">
        <f t="shared" si="1"/>
        <v>×</v>
      </c>
      <c r="G25" s="28" t="str">
        <f t="shared" si="1"/>
        <v>×</v>
      </c>
    </row>
    <row r="26" spans="1:7">
      <c r="A26" t="s">
        <v>33</v>
      </c>
      <c r="B26" s="29">
        <f t="shared" ref="B26:G26" si="2">INT((B22-B$8)/(2/3/8/10))</f>
        <v>-394</v>
      </c>
      <c r="C26" s="29">
        <f t="shared" si="2"/>
        <v>166</v>
      </c>
      <c r="D26" s="29">
        <f t="shared" si="2"/>
        <v>486</v>
      </c>
      <c r="E26" s="29">
        <f t="shared" si="2"/>
        <v>406</v>
      </c>
      <c r="F26" s="29">
        <f t="shared" si="2"/>
        <v>886</v>
      </c>
      <c r="G26" s="29">
        <f t="shared" si="2"/>
        <v>1446</v>
      </c>
    </row>
    <row r="27" spans="1:7">
      <c r="A27" t="s">
        <v>34</v>
      </c>
      <c r="B27" s="29">
        <f t="shared" ref="B27:G27" si="3">INT((B23-B$9)/(1/8/10))</f>
        <v>90</v>
      </c>
      <c r="C27" s="29">
        <f t="shared" si="3"/>
        <v>250</v>
      </c>
      <c r="D27" s="29">
        <f t="shared" si="3"/>
        <v>410</v>
      </c>
      <c r="E27" s="29">
        <f t="shared" si="3"/>
        <v>810</v>
      </c>
      <c r="F27" s="29">
        <f t="shared" si="3"/>
        <v>970</v>
      </c>
      <c r="G27" s="29">
        <f t="shared" si="3"/>
        <v>1450</v>
      </c>
    </row>
    <row r="31" spans="1:7">
      <c r="A31" s="30" t="s">
        <v>36</v>
      </c>
    </row>
    <row r="32" spans="1:7">
      <c r="A32" t="s">
        <v>37</v>
      </c>
      <c r="B32" s="33">
        <v>41275</v>
      </c>
    </row>
    <row r="33" spans="1:7">
      <c r="A33" t="s">
        <v>38</v>
      </c>
      <c r="B33" s="29">
        <f>B32-DATE(YEAR(B32),1,1)</f>
        <v>0</v>
      </c>
    </row>
    <row r="34" spans="1:7">
      <c r="A34" t="s">
        <v>61</v>
      </c>
      <c r="B34" s="29">
        <f>B32-2</f>
        <v>41273</v>
      </c>
    </row>
    <row r="35" spans="1:7">
      <c r="A35" t="s">
        <v>44</v>
      </c>
      <c r="B35" s="34">
        <f>B32</f>
        <v>41275</v>
      </c>
    </row>
    <row r="39" spans="1:7">
      <c r="A39" s="30" t="s">
        <v>45</v>
      </c>
    </row>
    <row r="40" spans="1:7">
      <c r="A40" t="s">
        <v>53</v>
      </c>
      <c r="B40" t="s">
        <v>46</v>
      </c>
    </row>
    <row r="41" spans="1:7">
      <c r="A41" t="s">
        <v>54</v>
      </c>
      <c r="B41">
        <v>2018</v>
      </c>
    </row>
    <row r="42" spans="1:7">
      <c r="A42" t="s">
        <v>31</v>
      </c>
      <c r="B42" s="32">
        <v>36.056666666666665</v>
      </c>
    </row>
    <row r="43" spans="1:7">
      <c r="A43" t="s">
        <v>32</v>
      </c>
      <c r="B43" s="32">
        <v>140.125</v>
      </c>
    </row>
    <row r="44" spans="1:7">
      <c r="A44" t="s">
        <v>62</v>
      </c>
      <c r="B44" s="29" t="str">
        <f ca="1">B54&amp;B55&amp;B56&amp;F59&amp;B58</f>
        <v>https://amd.rd.naro.go.jp/opendap/AMD/Area2/2018/AMD_Area2_TMP_mea.nc.ascii?TMP_mea[0:364][166][250]</v>
      </c>
    </row>
    <row r="45" spans="1:7">
      <c r="A45" t="s">
        <v>63</v>
      </c>
      <c r="B45" s="29" t="str">
        <f ca="1">B54&amp;B55&amp;B57&amp;F59&amp;B58</f>
        <v>https://amd.rd.naro.go.jp/opendap/AMD/Area2/2018/AMD_Area2_Cli_TMP_mea.nc.ascii?TMP_mea[0:364][166][250]</v>
      </c>
    </row>
    <row r="46" spans="1:7" hidden="1">
      <c r="A46" t="s">
        <v>59</v>
      </c>
      <c r="B46" s="43"/>
    </row>
    <row r="47" spans="1:7" hidden="1">
      <c r="A47" t="s">
        <v>54</v>
      </c>
      <c r="B47" t="str">
        <f>TEXT(B41,"0000")</f>
        <v>2018</v>
      </c>
      <c r="C47">
        <f>DATEDIF(DATE(B47,1,0),DATE(B47,12,31),"D")</f>
        <v>365</v>
      </c>
      <c r="D47" t="str">
        <f>D59&amp;"0:"&amp;TEXT(C47-1,"#")&amp;E59</f>
        <v>[0:364]</v>
      </c>
    </row>
    <row r="48" spans="1:7" hidden="1">
      <c r="A48" t="s">
        <v>31</v>
      </c>
      <c r="B48" s="46">
        <f>B42</f>
        <v>36.056666666666665</v>
      </c>
      <c r="C48" s="31">
        <f t="shared" ref="C48:G49" si="4">$B48</f>
        <v>36.056666666666665</v>
      </c>
      <c r="D48" s="31">
        <f t="shared" si="4"/>
        <v>36.056666666666665</v>
      </c>
      <c r="E48" s="31">
        <f t="shared" si="4"/>
        <v>36.056666666666665</v>
      </c>
      <c r="F48" s="31">
        <f t="shared" si="4"/>
        <v>36.056666666666665</v>
      </c>
      <c r="G48" s="31">
        <f t="shared" si="4"/>
        <v>36.056666666666665</v>
      </c>
    </row>
    <row r="49" spans="1:9" hidden="1">
      <c r="A49" t="s">
        <v>32</v>
      </c>
      <c r="B49" s="46">
        <f>B43</f>
        <v>140.125</v>
      </c>
      <c r="C49" s="31">
        <f t="shared" si="4"/>
        <v>140.125</v>
      </c>
      <c r="D49" s="31">
        <f t="shared" si="4"/>
        <v>140.125</v>
      </c>
      <c r="E49" s="31">
        <f t="shared" si="4"/>
        <v>140.125</v>
      </c>
      <c r="F49" s="31">
        <f t="shared" si="4"/>
        <v>140.125</v>
      </c>
      <c r="G49" s="31">
        <f t="shared" si="4"/>
        <v>140.125</v>
      </c>
    </row>
    <row r="50" spans="1:9" hidden="1">
      <c r="A50" t="s">
        <v>28</v>
      </c>
      <c r="B50" s="44" t="s">
        <v>0</v>
      </c>
      <c r="C50" s="44" t="s">
        <v>1</v>
      </c>
      <c r="D50" s="44" t="s">
        <v>2</v>
      </c>
      <c r="E50" s="44" t="s">
        <v>3</v>
      </c>
      <c r="F50" s="44" t="s">
        <v>4</v>
      </c>
      <c r="G50" s="44" t="s">
        <v>5</v>
      </c>
      <c r="H50" s="48" t="str">
        <f>"Area"&amp;TEXT(H51,"0")</f>
        <v>Area2</v>
      </c>
    </row>
    <row r="51" spans="1:9" hidden="1">
      <c r="A51" t="s">
        <v>35</v>
      </c>
      <c r="B51" s="45" t="str">
        <f t="shared" ref="B51:G51" si="5">IF(AND(0&lt;=B52,B52&lt;B$13,0&lt;=B53,B53&lt;B$14),"○","×")</f>
        <v>×</v>
      </c>
      <c r="C51" s="45" t="str">
        <f t="shared" si="5"/>
        <v>○</v>
      </c>
      <c r="D51" s="45" t="str">
        <f t="shared" si="5"/>
        <v>○</v>
      </c>
      <c r="E51" s="45" t="str">
        <f t="shared" si="5"/>
        <v>×</v>
      </c>
      <c r="F51" s="45" t="str">
        <f t="shared" si="5"/>
        <v>×</v>
      </c>
      <c r="G51" s="45" t="str">
        <f t="shared" si="5"/>
        <v>×</v>
      </c>
      <c r="H51" s="48">
        <f>IF(B51="○",1,IF(C51="○",2,IF(D51="○",3,IF(E51="○",4,IF(F51="○",5,IF(G51="○",6,"どの領域にも含まれません"))))))</f>
        <v>2</v>
      </c>
      <c r="I51" s="48"/>
    </row>
    <row r="52" spans="1:9" hidden="1">
      <c r="A52" t="s">
        <v>33</v>
      </c>
      <c r="B52" s="44">
        <f t="shared" ref="B52:G52" si="6">INT((B48-B$8)/(2/3/8/10))</f>
        <v>-394</v>
      </c>
      <c r="C52" s="44">
        <f t="shared" si="6"/>
        <v>166</v>
      </c>
      <c r="D52" s="44">
        <f t="shared" si="6"/>
        <v>486</v>
      </c>
      <c r="E52" s="44">
        <f t="shared" si="6"/>
        <v>406</v>
      </c>
      <c r="F52" s="44">
        <f t="shared" si="6"/>
        <v>886</v>
      </c>
      <c r="G52" s="44">
        <f t="shared" si="6"/>
        <v>1446</v>
      </c>
      <c r="H52" s="48">
        <f ca="1">OFFSET(B52,0,H51-1)</f>
        <v>166</v>
      </c>
      <c r="I52" s="48" t="str">
        <f ca="1">$D$59&amp;TEXT(H52,"#")&amp;$E$59</f>
        <v>[166]</v>
      </c>
    </row>
    <row r="53" spans="1:9" hidden="1">
      <c r="A53" t="s">
        <v>34</v>
      </c>
      <c r="B53" s="44">
        <f t="shared" ref="B53:G53" si="7">INT((B49-B$9)/(1/8/10))</f>
        <v>90</v>
      </c>
      <c r="C53" s="44">
        <f t="shared" si="7"/>
        <v>250</v>
      </c>
      <c r="D53" s="44">
        <f t="shared" si="7"/>
        <v>410</v>
      </c>
      <c r="E53" s="44">
        <f t="shared" si="7"/>
        <v>810</v>
      </c>
      <c r="F53" s="44">
        <f t="shared" si="7"/>
        <v>970</v>
      </c>
      <c r="G53" s="44">
        <f t="shared" si="7"/>
        <v>1450</v>
      </c>
      <c r="H53" s="48">
        <f ca="1">OFFSET(B53,0,H51-1)</f>
        <v>250</v>
      </c>
      <c r="I53" s="48" t="str">
        <f ca="1">$D$59&amp;TEXT(H53,"#")&amp;$E$59</f>
        <v>[250]</v>
      </c>
    </row>
    <row r="54" spans="1:9" hidden="1">
      <c r="A54" t="s">
        <v>47</v>
      </c>
      <c r="B54" t="s">
        <v>48</v>
      </c>
    </row>
    <row r="55" spans="1:9" hidden="1">
      <c r="A55" t="s">
        <v>49</v>
      </c>
      <c r="B55" t="str">
        <f>H50&amp;B59&amp;B47&amp;B59</f>
        <v>Area2/2018/</v>
      </c>
    </row>
    <row r="56" spans="1:9" hidden="1">
      <c r="A56" t="s">
        <v>58</v>
      </c>
      <c r="B56" t="str">
        <f>"AMD_"&amp;H50&amp;C59&amp;B40&amp;".nc.ascii"</f>
        <v>AMD_Area2_TMP_mea.nc.ascii</v>
      </c>
    </row>
    <row r="57" spans="1:9" hidden="1">
      <c r="A57" t="s">
        <v>58</v>
      </c>
      <c r="B57" t="str">
        <f>"AMD_"&amp;H50&amp;C59&amp;"Cli_"&amp;B40&amp;".nc.ascii"</f>
        <v>AMD_Area2_Cli_TMP_mea.nc.ascii</v>
      </c>
    </row>
    <row r="58" spans="1:9" hidden="1">
      <c r="A58" t="s">
        <v>60</v>
      </c>
      <c r="B58" t="str">
        <f ca="1">B40&amp;D47&amp;I52&amp;I53</f>
        <v>TMP_mea[0:364][166][250]</v>
      </c>
    </row>
    <row r="59" spans="1:9" hidden="1">
      <c r="A59" t="s">
        <v>55</v>
      </c>
      <c r="B59" s="42" t="s">
        <v>50</v>
      </c>
      <c r="C59" t="s">
        <v>51</v>
      </c>
      <c r="D59" t="s">
        <v>56</v>
      </c>
      <c r="E59" t="s">
        <v>57</v>
      </c>
      <c r="F59" t="s">
        <v>52</v>
      </c>
    </row>
    <row r="61" spans="1:9">
      <c r="C61" s="34"/>
      <c r="D61" s="34"/>
    </row>
    <row r="63" spans="1:9">
      <c r="A63" s="47"/>
      <c r="C63" s="34"/>
      <c r="D63" s="34"/>
    </row>
    <row r="64" spans="1:9">
      <c r="C64" s="34"/>
      <c r="D64" s="34"/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16" sqref="B16:C16"/>
    </sheetView>
  </sheetViews>
  <sheetFormatPr defaultRowHeight="13.5"/>
  <cols>
    <col min="1" max="1" width="5.125" customWidth="1"/>
    <col min="2" max="2" width="10" customWidth="1"/>
    <col min="3" max="3" width="11.625" bestFit="1" customWidth="1"/>
    <col min="4" max="9" width="0.625" customWidth="1"/>
    <col min="10" max="10" width="10" customWidth="1"/>
  </cols>
  <sheetData>
    <row r="1" spans="1:10">
      <c r="A1" s="30" t="s">
        <v>20</v>
      </c>
    </row>
    <row r="2" spans="1:10">
      <c r="A2" s="30"/>
    </row>
    <row r="3" spans="1:10">
      <c r="A3" t="s">
        <v>40</v>
      </c>
    </row>
    <row r="4" spans="1:10">
      <c r="B4" s="9" t="s">
        <v>8</v>
      </c>
      <c r="C4" s="21">
        <f>(D5+1)*2/3</f>
        <v>24.666666666666668</v>
      </c>
      <c r="D4" s="2"/>
      <c r="E4" s="2"/>
      <c r="F4" s="2"/>
      <c r="G4" s="2"/>
      <c r="H4" s="3"/>
      <c r="I4" s="3"/>
      <c r="J4" s="11" t="s">
        <v>11</v>
      </c>
    </row>
    <row r="5" spans="1:10">
      <c r="B5" s="22">
        <f>100+E5</f>
        <v>131</v>
      </c>
      <c r="C5" s="19">
        <v>3631</v>
      </c>
      <c r="D5" s="4">
        <f>INT(C5/100)</f>
        <v>36</v>
      </c>
      <c r="E5" s="4">
        <f>C5-D5*100</f>
        <v>31</v>
      </c>
      <c r="F5" s="4"/>
      <c r="G5" s="4"/>
      <c r="J5" s="24">
        <f>101+E5</f>
        <v>132</v>
      </c>
    </row>
    <row r="6" spans="1:10">
      <c r="B6" s="10" t="s">
        <v>10</v>
      </c>
      <c r="C6" s="23">
        <f>D5*2/3</f>
        <v>24</v>
      </c>
      <c r="D6" s="6"/>
      <c r="E6" s="6"/>
      <c r="F6" s="6"/>
      <c r="G6" s="6"/>
      <c r="H6" s="7"/>
      <c r="I6" s="7"/>
      <c r="J6" s="12" t="s">
        <v>9</v>
      </c>
    </row>
    <row r="8" spans="1:10">
      <c r="A8" t="s">
        <v>41</v>
      </c>
    </row>
    <row r="9" spans="1:10">
      <c r="B9" s="9" t="s">
        <v>8</v>
      </c>
      <c r="C9" s="21">
        <f>2/3*(D10)+2/3/8*(F10)+2/3/8/10*(H10+1)</f>
        <v>36.208333333333329</v>
      </c>
      <c r="D9" s="2"/>
      <c r="E9" s="2"/>
      <c r="F9" s="2"/>
      <c r="G9" s="2"/>
      <c r="H9" s="3"/>
      <c r="I9" s="3"/>
      <c r="J9" s="11" t="s">
        <v>11</v>
      </c>
    </row>
    <row r="10" spans="1:10">
      <c r="B10" s="25">
        <f>100+E10+1/8*G10+1/80*I10</f>
        <v>138.41249999999999</v>
      </c>
      <c r="C10" s="19">
        <v>54382343</v>
      </c>
      <c r="D10" s="4">
        <f>INT(C10/1000000)</f>
        <v>54</v>
      </c>
      <c r="E10" s="4">
        <f>INT(C10/10000)-D10*100</f>
        <v>38</v>
      </c>
      <c r="F10" s="4">
        <f>INT(C10/1000)-D10*1000-E10*10</f>
        <v>2</v>
      </c>
      <c r="G10" s="4">
        <f>INT(C10/100)-D10*10000-E10*100-F10*10</f>
        <v>3</v>
      </c>
      <c r="H10" s="4">
        <f>INT(C10/10)-D10*100000-E10*1000-F10*100-G10*10</f>
        <v>4</v>
      </c>
      <c r="I10" s="4">
        <f>C10-D10*1000000-E10*10000-F10*1000-G10*100-H10*10</f>
        <v>3</v>
      </c>
      <c r="J10" s="26">
        <f>100+E10+1/8*G10+1/80*(I10+1)</f>
        <v>138.42500000000001</v>
      </c>
    </row>
    <row r="11" spans="1:10">
      <c r="B11" s="10" t="s">
        <v>10</v>
      </c>
      <c r="C11" s="23">
        <f>2/3*(D10)+2/3/8*(F10)+2/3/8/10*(H10)</f>
        <v>36.199999999999996</v>
      </c>
      <c r="D11" s="6"/>
      <c r="E11" s="6"/>
      <c r="F11" s="6"/>
      <c r="G11" s="6"/>
      <c r="H11" s="7"/>
      <c r="I11" s="7"/>
      <c r="J11" s="12" t="s">
        <v>9</v>
      </c>
    </row>
    <row r="13" spans="1:10">
      <c r="A13" t="s">
        <v>42</v>
      </c>
    </row>
    <row r="14" spans="1:10">
      <c r="B14" s="1" t="s">
        <v>6</v>
      </c>
      <c r="C14" s="20">
        <v>35.664000000000001</v>
      </c>
      <c r="D14" s="13">
        <f>INT(C14*3/2)</f>
        <v>53</v>
      </c>
      <c r="E14" s="13"/>
      <c r="F14" s="13">
        <f>INT(C14*12-D14*8)</f>
        <v>3</v>
      </c>
      <c r="G14" s="13"/>
      <c r="H14" s="13">
        <f>MOD(INT(C14*120),10)</f>
        <v>9</v>
      </c>
      <c r="I14" s="14"/>
    </row>
    <row r="15" spans="1:10">
      <c r="B15" s="15" t="s">
        <v>7</v>
      </c>
      <c r="C15" s="19">
        <v>136.33199999999999</v>
      </c>
      <c r="D15" s="16"/>
      <c r="E15" s="16">
        <f>INT(C15-100)</f>
        <v>36</v>
      </c>
      <c r="F15" s="16"/>
      <c r="G15" s="17">
        <f>INT((C15-INT(C15))*8)</f>
        <v>2</v>
      </c>
      <c r="H15" s="16"/>
      <c r="I15" s="18">
        <f>MOD(INT((C15)*80),10)</f>
        <v>6</v>
      </c>
    </row>
    <row r="16" spans="1:10">
      <c r="B16" s="5" t="s">
        <v>12</v>
      </c>
      <c r="C16" s="27">
        <f>D14*1000000+E15*10000+F14*1000+G15*100+H14*10+I15</f>
        <v>53363296</v>
      </c>
      <c r="D16" s="7"/>
      <c r="E16" s="7"/>
      <c r="F16" s="7"/>
      <c r="G16" s="7"/>
      <c r="H16" s="7"/>
      <c r="I16" s="8"/>
    </row>
  </sheetData>
  <phoneticPr fontId="9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メッシュ農業気象データの配信領域</vt:lpstr>
      <vt:lpstr>基準地域メッシュと緯度経度の関係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ohno</dc:creator>
  <cp:lastModifiedBy>ohno</cp:lastModifiedBy>
  <dcterms:created xsi:type="dcterms:W3CDTF">2012-09-18T01:12:45Z</dcterms:created>
  <dcterms:modified xsi:type="dcterms:W3CDTF">2018-06-22T01:41:25Z</dcterms:modified>
</cp:coreProperties>
</file>